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washoenv.sharepoint.com/sites/nsrsp25project/Shared Documents/Communications/Microwave Documentation/"/>
    </mc:Choice>
  </mc:AlternateContent>
  <xr:revisionPtr revIDLastSave="13" documentId="8_{B81454D5-093A-4435-8EB5-47E1EF8DE85B}" xr6:coauthVersionLast="47" xr6:coauthVersionMax="47" xr10:uidLastSave="{2955DE2D-A8E3-45A0-BA21-A8C245D59FF0}"/>
  <bookViews>
    <workbookView xWindow="-110" yWindow="-110" windowWidth="34620" windowHeight="13900" xr2:uid="{FF824EE6-E417-4C0C-925C-CD2F67A136B4}"/>
  </bookViews>
  <sheets>
    <sheet name="Link-by-link" sheetId="4" r:id="rId1"/>
    <sheet name="Nokia Change Req - Orig" sheetId="3"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4" l="1"/>
  <c r="E27" i="4"/>
  <c r="J27" i="4" s="1"/>
  <c r="D27" i="4"/>
  <c r="C27" i="4"/>
  <c r="I22" i="4" l="1"/>
  <c r="H22" i="4"/>
  <c r="G22" i="4"/>
  <c r="E22" i="4"/>
  <c r="D22" i="4"/>
  <c r="B22" i="4"/>
  <c r="F21" i="4"/>
  <c r="J21" i="4" s="1"/>
  <c r="C20" i="4"/>
  <c r="J20" i="4" s="1"/>
  <c r="H16" i="4"/>
  <c r="H17" i="4" s="1"/>
  <c r="G16" i="4"/>
  <c r="G17" i="4" s="1"/>
  <c r="F16" i="4"/>
  <c r="F17" i="4" s="1"/>
  <c r="E16" i="4"/>
  <c r="E17" i="4" s="1"/>
  <c r="D16" i="4"/>
  <c r="D17" i="4" s="1"/>
  <c r="C16" i="4"/>
  <c r="C17" i="4" s="1"/>
  <c r="B16" i="4"/>
  <c r="I15" i="4"/>
  <c r="J15" i="4" s="1"/>
  <c r="J14" i="4"/>
  <c r="H8" i="4"/>
  <c r="G8" i="4"/>
  <c r="F8" i="4"/>
  <c r="E8" i="4"/>
  <c r="D8" i="4"/>
  <c r="C8" i="4"/>
  <c r="B8" i="4"/>
  <c r="I7" i="4"/>
  <c r="I9" i="4" s="1"/>
  <c r="H7" i="4"/>
  <c r="G7" i="4"/>
  <c r="F7" i="4"/>
  <c r="E7" i="4"/>
  <c r="D7" i="4"/>
  <c r="C7" i="4"/>
  <c r="B7" i="4"/>
  <c r="H6" i="4"/>
  <c r="G6" i="4"/>
  <c r="F6" i="4"/>
  <c r="E6" i="4"/>
  <c r="D6" i="4"/>
  <c r="C6" i="4"/>
  <c r="B6" i="4"/>
  <c r="H4" i="4"/>
  <c r="G4" i="4"/>
  <c r="F4" i="4"/>
  <c r="E4" i="4"/>
  <c r="D4" i="4"/>
  <c r="C4" i="4"/>
  <c r="B4" i="4"/>
  <c r="J3" i="4"/>
  <c r="I2" i="4"/>
  <c r="I5" i="4" s="1"/>
  <c r="H2" i="4"/>
  <c r="G2" i="4"/>
  <c r="F2" i="4"/>
  <c r="E2" i="4"/>
  <c r="D2" i="4"/>
  <c r="C2" i="4"/>
  <c r="B2" i="4"/>
  <c r="F5" i="4" l="1"/>
  <c r="F18" i="4" s="1"/>
  <c r="E5" i="4"/>
  <c r="H5" i="4"/>
  <c r="H18" i="4" s="1"/>
  <c r="J4" i="4"/>
  <c r="D9" i="4"/>
  <c r="D23" i="4" s="1"/>
  <c r="G9" i="4"/>
  <c r="G23" i="4" s="1"/>
  <c r="I17" i="4"/>
  <c r="I24" i="4" s="1"/>
  <c r="J16" i="4"/>
  <c r="B5" i="4"/>
  <c r="B9" i="4"/>
  <c r="B23" i="4" s="1"/>
  <c r="D5" i="4"/>
  <c r="D18" i="4" s="1"/>
  <c r="J8" i="4"/>
  <c r="J6" i="4"/>
  <c r="I23" i="4"/>
  <c r="B17" i="4"/>
  <c r="B18" i="4" s="1"/>
  <c r="J22" i="4"/>
  <c r="C22" i="4"/>
  <c r="C24" i="4" s="1"/>
  <c r="E9" i="4"/>
  <c r="E10" i="4" s="1"/>
  <c r="H9" i="4"/>
  <c r="H23" i="4" s="1"/>
  <c r="J17" i="4"/>
  <c r="G5" i="4"/>
  <c r="G18" i="4" s="1"/>
  <c r="E18" i="4"/>
  <c r="D24" i="4"/>
  <c r="G24" i="4"/>
  <c r="F9" i="4"/>
  <c r="F10" i="4" s="1"/>
  <c r="H24" i="4"/>
  <c r="J2" i="4"/>
  <c r="C5" i="4"/>
  <c r="C18" i="4" s="1"/>
  <c r="C9" i="4"/>
  <c r="E24" i="4"/>
  <c r="I10" i="4"/>
  <c r="J7" i="4"/>
  <c r="F22" i="4"/>
  <c r="H10" i="4" l="1"/>
  <c r="J24" i="4"/>
  <c r="E23" i="4"/>
  <c r="J5" i="4"/>
  <c r="J18" i="4" s="1"/>
  <c r="J9" i="4"/>
  <c r="D10" i="4"/>
  <c r="B10" i="4"/>
  <c r="I18" i="4"/>
  <c r="G10" i="4"/>
  <c r="B24" i="4"/>
  <c r="C10" i="4"/>
  <c r="C23" i="4"/>
  <c r="F23" i="4"/>
  <c r="F24" i="4"/>
  <c r="J10" i="4" l="1"/>
  <c r="J23" i="4"/>
  <c r="C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Taylor, Heather (US)</author>
  </authors>
  <commentList>
    <comment ref="I15" authorId="0" shapeId="0" xr:uid="{6307B1AD-0B4B-4672-AECB-39BAB741D6E0}">
      <text>
        <r>
          <rPr>
            <b/>
            <sz val="9"/>
            <color indexed="81"/>
            <rFont val="Tahoma"/>
            <family val="2"/>
          </rPr>
          <t>Taylor, Heather (US):</t>
        </r>
        <r>
          <rPr>
            <sz val="9"/>
            <color indexed="81"/>
            <rFont val="Tahoma"/>
            <family val="2"/>
          </rPr>
          <t xml:space="preserve">
Includes addt'l spare PAD-6 dish</t>
        </r>
      </text>
    </comment>
    <comment ref="C20" authorId="0" shapeId="0" xr:uid="{B2E82E09-7154-44A1-9CEF-1DEDE61E9D29}">
      <text>
        <r>
          <rPr>
            <b/>
            <sz val="9"/>
            <color indexed="81"/>
            <rFont val="Tahoma"/>
            <family val="2"/>
          </rPr>
          <t>Taylor, Heather (US):</t>
        </r>
        <r>
          <rPr>
            <sz val="9"/>
            <color indexed="81"/>
            <rFont val="Tahoma"/>
            <family val="2"/>
          </rPr>
          <t xml:space="preserve">
Additional site walk, license change </t>
        </r>
      </text>
    </comment>
  </commentList>
</comments>
</file>

<file path=xl/sharedStrings.xml><?xml version="1.0" encoding="utf-8"?>
<sst xmlns="http://schemas.openxmlformats.org/spreadsheetml/2006/main" count="95" uniqueCount="81">
  <si>
    <t>Site Name</t>
  </si>
  <si>
    <t>Red Peak</t>
  </si>
  <si>
    <t>Sparks Dispatch</t>
  </si>
  <si>
    <t>Edison Way</t>
  </si>
  <si>
    <t>Ophir Peak</t>
  </si>
  <si>
    <t>Peavine Mtn</t>
  </si>
  <si>
    <t>Slide Mtn</t>
  </si>
  <si>
    <t>Spectrum</t>
  </si>
  <si>
    <t>Grand Total</t>
  </si>
  <si>
    <t>v4 Radio Equipment</t>
  </si>
  <si>
    <t>v4 Antennas</t>
  </si>
  <si>
    <t>Addt'l Mtrl Discount</t>
  </si>
  <si>
    <t>Material Sale Price</t>
  </si>
  <si>
    <t>v4 Engineering Svc</t>
  </si>
  <si>
    <t>v4 Installation Svc</t>
  </si>
  <si>
    <t>v4 Addt'l Services</t>
  </si>
  <si>
    <t>Services Sale Price</t>
  </si>
  <si>
    <t xml:space="preserve">Total </t>
  </si>
  <si>
    <t>Microwave Design Change Order</t>
  </si>
  <si>
    <t>v7 Radio Equipment</t>
  </si>
  <si>
    <t>v7 Antennas</t>
  </si>
  <si>
    <t>Material Variance</t>
  </si>
  <si>
    <t>v7 Engineering &amp; PM Svc</t>
  </si>
  <si>
    <t>v7 Installation Svc</t>
  </si>
  <si>
    <t>Services Variance</t>
  </si>
  <si>
    <t>Spare Equipment</t>
  </si>
  <si>
    <t>1 microwave 
link</t>
  </si>
  <si>
    <t>1 out of 2 
microwave links</t>
  </si>
  <si>
    <t>2 out of 6 
microwave links</t>
  </si>
  <si>
    <t>1 out of 3 
microwave links</t>
  </si>
  <si>
    <t>1 out of 4 
microwave links</t>
  </si>
  <si>
    <t>7 Microwave 
Links</t>
  </si>
  <si>
    <t>Total Costs by 
Microwave Link</t>
  </si>
  <si>
    <t>CHANGE ORDERS:</t>
  </si>
  <si>
    <t>Analysis</t>
  </si>
  <si>
    <t>Cost</t>
  </si>
  <si>
    <t>Value of Work Performed</t>
  </si>
  <si>
    <t>Wednesday 8-17-2022 delivered Incline rack while waiting to do Edison Spectrum cut and gaining access to Ophir.</t>
  </si>
  <si>
    <t>The 7/21/2022 MPP schedule I inherited from Kathy sent to L3H on 7/22/2022, shows Ophir to Spectrum from 8/17-8/24.  The deployment schedule sent the same date shows 8/15-8/18/2022. I  do not believe Nokia received any other schedule from L3 until 8/24/22 @ 5:01 PM wherein Heather sent 3 files and said "use this one."</t>
  </si>
  <si>
    <t>9-6-2022 REMOB</t>
  </si>
  <si>
    <t>8/25-9/6/2022 - no activity.  Came back to start Slide &lt;&gt; Rose</t>
  </si>
  <si>
    <t>9-12-2022 REMOB</t>
  </si>
  <si>
    <t>Wed 9/7/2022 - complete with Slide to Rose. No activity until Monday 9/12/2022 for Incline &lt;&gt; Snowflake</t>
  </si>
  <si>
    <t>10-3-2022 REMOB LLD pull cards – pre-program updated LLD</t>
  </si>
  <si>
    <t>Not billable - customer good will, even though this was a customer request</t>
  </si>
  <si>
    <t>10-4-2022 EDISON AIR SYSTEM VERIFIED WORKING CORRECTLY</t>
  </si>
  <si>
    <t>Crews started at Edison and troubleshot the reported low / no pressurization.  Crew found the new waveguide and airline was holding pressure and could not locate an issue with their work. No trouble found (NTF).  The crew did adjust the existing dehydrator output to increase it to 3 psi</t>
  </si>
  <si>
    <t>10-5-2022 -OPHIR TROUBLESHOOT AIR LEAK</t>
  </si>
  <si>
    <t>Not billable - Nokia "warranty"</t>
  </si>
  <si>
    <t>10-6-2022 – OPHIR - REPLACE WG</t>
  </si>
  <si>
    <t>Not billable</t>
  </si>
  <si>
    <t>10-10-2022 - REMOB  Incline to Snowflake</t>
  </si>
  <si>
    <t>As of end of day 9/7/2022 when Alan left for vacation, the Incline to Snowflake hop was scheduled for Tuesday 9/12 and cut 9/13.  During my absence this pushed to Monday 10/10/2022</t>
  </si>
  <si>
    <t>10-11-2022 – CREW DOWN HOLD IN MARKET</t>
  </si>
  <si>
    <t>While Nokia understands the need for scheduling outages in a live 911 network, the restrictions on days we could cut and notification timelines were not communicated at the inception of the project or included in the SOW.  Nokia came to market with the intention of getting this cut done on the single day we were afforded to do it (Wednesday) and did not wish to delay the cut should one thing go wrong or take longer than expected.</t>
  </si>
  <si>
    <t>10-24-2022 REMOB</t>
  </si>
  <si>
    <t>Delayed from 10/13 to 10/24 for two reasons:</t>
  </si>
  <si>
    <t>1) Nokia did not follow routing guide we had</t>
  </si>
  <si>
    <t>2) Nokia did not have the current routing guide and the number it told us to call for FTL lost 2-3 days of time</t>
  </si>
  <si>
    <t>This should be split 50/50</t>
  </si>
  <si>
    <t>10-26-2022 Virginia &lt; Peavine dish move from stub to large tower</t>
  </si>
  <si>
    <t>Trip back to warehouse to locate longer WG.  Path survey was done from the existing location on the stub tower and no change was communicated.  The supplied floor plan does not show the dish location.</t>
  </si>
  <si>
    <t>These notes are from the path survey review:  Requires deinstallation of existing dish and line.  Dish to Peavine existing 6' at 24' mounted on building structure.</t>
  </si>
  <si>
    <t>The supplied floor plan does show Nokia using entry port 1 on the end of the building nearest the large tower, but this change was not called out.</t>
  </si>
  <si>
    <t>10-26-2022 Virginia &lt; Peavine ice shield requested were not in scope</t>
  </si>
  <si>
    <t>L3H (Larry) requested that an ice shield be placed above the Virginia &lt; Peavine dish and later moved to be above Virginia to Red Peak.  Ice shield is not in scope here and neither is the future move.  This is documented in the 10/26/2022 call notes</t>
  </si>
  <si>
    <t>10-26-2022 WG for Fox &lt; Peavine</t>
  </si>
  <si>
    <t>Email from Randy:</t>
  </si>
  <si>
    <t>The WG E60 150ft was picked up from the whse to install at Virginia Peak due to the dish location change from the current rooftop tower to the main tower.</t>
  </si>
  <si>
    <t>The 146ft poito roll was buried at the back of the warehouse per washoe county, the 150ft was readily available.</t>
  </si>
  <si>
    <t>The 146ft for Poito will be used to backfill the 150ft taken, leaving a need to re-order poito 146ft</t>
  </si>
  <si>
    <t>54 vs 146 @ $10.33 / ft installed + $9.56 for materials</t>
  </si>
  <si>
    <t>10-30 2022 – REMOVE DISHES FROM VIRGINIA AND FOX</t>
  </si>
  <si>
    <t>10-31 2022 – REMOVE DISHES FROM VIRGINIA AND FOX</t>
  </si>
  <si>
    <t xml:space="preserve">2-28-2023 - refile licenses </t>
  </si>
  <si>
    <t>3/7/2023 - new system map + 2 TSE hours</t>
  </si>
  <si>
    <t xml:space="preserve">Discovered in closeout of Edison that several site names changed, and some sites were dropped and added. L3H asked for updated map. </t>
  </si>
  <si>
    <t>3/10/2023 - reorder waveguide for Virginia Peak</t>
  </si>
  <si>
    <t>For the path from Virginia Peak facing Peavine where we surveyed it mounted on top of the shelter but L3H/County wanted the antenna to be placed on the tower so longer waveguide was required. This change was never clearly called out and at best buried in a floorplan.  146' needs to be ordered.</t>
  </si>
  <si>
    <t>Spare Microwave Equipment</t>
  </si>
  <si>
    <t>911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</si>
</sst>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1"/>
      <color rgb="FF000000"/>
      <name val="Calibri"/>
      <family val="2"/>
    </font>
    <font>
      <sz val="11"/>
      <color rgb="FF000000"/>
      <name val="Calibri"/>
      <family val="2"/>
    </font>
    <font>
      <sz val="11"/>
      <color rgb="FF000000"/>
      <name val="Trebuchet MS"/>
      <family val="2"/>
    </font>
    <font>
      <sz val="11"/>
      <color rgb="FF0070C0"/>
      <name val="Trebuchet MS"/>
      <family val="2"/>
    </font>
    <font>
      <sz val="11"/>
      <color rgb="FF0070C0"/>
      <name val="Calibri"/>
      <family val="2"/>
    </font>
    <font>
      <sz val="11"/>
      <color theme="1"/>
      <name val="Trebuchet MS"/>
      <family val="2"/>
    </font>
    <font>
      <b/>
      <sz val="9"/>
      <color indexed="81"/>
      <name val="Tahoma"/>
      <family val="2"/>
    </font>
    <font>
      <sz val="9"/>
      <color indexed="81"/>
      <name val="Tahoma"/>
      <family val="2"/>
    </font>
    <font>
      <b/>
      <sz val="16"/>
      <color theme="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rgb="FF66FF66"/>
        <bgColor indexed="64"/>
      </patternFill>
    </fill>
    <fill>
      <patternFill patternType="solid">
        <fgColor rgb="FF00B0F0"/>
        <bgColor indexed="64"/>
      </patternFill>
    </fill>
    <fill>
      <patternFill patternType="solid">
        <fgColor theme="9" tint="0.59999389629810485"/>
        <bgColor indexed="64"/>
      </patternFill>
    </fill>
    <fill>
      <patternFill patternType="solid">
        <fgColor theme="7"/>
        <bgColor indexed="64"/>
      </patternFill>
    </fill>
    <fill>
      <patternFill patternType="solid">
        <fgColor rgb="FF00B05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66">
    <xf numFmtId="0" fontId="0" fillId="0" borderId="0" xfId="0"/>
    <xf numFmtId="44" fontId="2" fillId="0" borderId="2" xfId="0" applyNumberFormat="1" applyFont="1" applyBorder="1"/>
    <xf numFmtId="44" fontId="2" fillId="0" borderId="2" xfId="0" applyNumberFormat="1" applyFont="1" applyBorder="1" applyAlignment="1">
      <alignment horizontal="center"/>
    </xf>
    <xf numFmtId="44" fontId="2" fillId="0" borderId="2" xfId="1" applyNumberFormat="1" applyFont="1" applyFill="1" applyBorder="1" applyAlignment="1">
      <alignment horizontal="center"/>
    </xf>
    <xf numFmtId="44" fontId="0" fillId="0" borderId="0" xfId="0" applyNumberFormat="1"/>
    <xf numFmtId="44" fontId="2" fillId="0" borderId="0" xfId="0" applyNumberFormat="1" applyFont="1"/>
    <xf numFmtId="44" fontId="0" fillId="0" borderId="0" xfId="0" applyNumberFormat="1" applyAlignment="1">
      <alignment horizontal="center"/>
    </xf>
    <xf numFmtId="44" fontId="0" fillId="0" borderId="0" xfId="1" applyNumberFormat="1" applyFont="1"/>
    <xf numFmtId="44" fontId="0" fillId="0" borderId="0" xfId="1" applyNumberFormat="1" applyFont="1" applyBorder="1"/>
    <xf numFmtId="44" fontId="2" fillId="0" borderId="3" xfId="0" applyNumberFormat="1" applyFont="1" applyBorder="1"/>
    <xf numFmtId="44" fontId="0" fillId="0" borderId="3" xfId="0" applyNumberFormat="1" applyBorder="1" applyAlignment="1">
      <alignment horizontal="center"/>
    </xf>
    <xf numFmtId="44" fontId="0" fillId="0" borderId="3" xfId="1" applyNumberFormat="1" applyFont="1" applyBorder="1"/>
    <xf numFmtId="44" fontId="0" fillId="0" borderId="3" xfId="1" applyNumberFormat="1" applyFont="1" applyBorder="1" applyAlignment="1">
      <alignment horizontal="center"/>
    </xf>
    <xf numFmtId="44" fontId="0" fillId="0" borderId="0" xfId="1" applyNumberFormat="1" applyFont="1" applyFill="1"/>
    <xf numFmtId="44" fontId="2" fillId="0" borderId="3" xfId="0" applyNumberFormat="1" applyFont="1" applyBorder="1" applyAlignment="1">
      <alignment horizontal="center"/>
    </xf>
    <xf numFmtId="44" fontId="2" fillId="2" borderId="0" xfId="0" applyNumberFormat="1" applyFont="1" applyFill="1"/>
    <xf numFmtId="44" fontId="2" fillId="0" borderId="4" xfId="0" applyNumberFormat="1" applyFont="1" applyBorder="1"/>
    <xf numFmtId="44" fontId="2" fillId="2" borderId="5" xfId="0" applyNumberFormat="1" applyFont="1" applyFill="1" applyBorder="1"/>
    <xf numFmtId="44" fontId="2" fillId="2" borderId="3" xfId="0" applyNumberFormat="1" applyFont="1" applyFill="1" applyBorder="1"/>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7" xfId="0" applyFont="1" applyBorder="1" applyAlignment="1">
      <alignment vertical="center"/>
    </xf>
    <xf numFmtId="0" fontId="5" fillId="0" borderId="9" xfId="0" applyFont="1" applyBorder="1" applyAlignment="1">
      <alignment vertical="center" wrapText="1"/>
    </xf>
    <xf numFmtId="8" fontId="6" fillId="0" borderId="9" xfId="0" applyNumberFormat="1" applyFont="1" applyBorder="1" applyAlignment="1">
      <alignment horizontal="right" vertical="center"/>
    </xf>
    <xf numFmtId="0" fontId="6" fillId="0" borderId="9" xfId="0" applyFont="1" applyBorder="1" applyAlignment="1">
      <alignment vertical="center"/>
    </xf>
    <xf numFmtId="8" fontId="7" fillId="3" borderId="9" xfId="0" applyNumberFormat="1" applyFont="1" applyFill="1" applyBorder="1" applyAlignment="1">
      <alignment horizontal="right" vertical="center"/>
    </xf>
    <xf numFmtId="0" fontId="5" fillId="0" borderId="11" xfId="0" applyFont="1" applyBorder="1" applyAlignment="1">
      <alignment vertical="center" wrapText="1"/>
    </xf>
    <xf numFmtId="0" fontId="8" fillId="0" borderId="9" xfId="0" applyFont="1" applyBorder="1" applyAlignment="1">
      <alignment vertical="center" wrapText="1"/>
    </xf>
    <xf numFmtId="8" fontId="9" fillId="0" borderId="9" xfId="0" applyNumberFormat="1" applyFont="1" applyBorder="1" applyAlignment="1">
      <alignment horizontal="right" vertical="center"/>
    </xf>
    <xf numFmtId="8" fontId="9" fillId="0" borderId="11" xfId="0" applyNumberFormat="1" applyFont="1" applyBorder="1" applyAlignment="1">
      <alignment horizontal="right" vertical="center"/>
    </xf>
    <xf numFmtId="8" fontId="9" fillId="0" borderId="12" xfId="0" applyNumberFormat="1" applyFont="1" applyBorder="1" applyAlignment="1">
      <alignment horizontal="right" vertical="center"/>
    </xf>
    <xf numFmtId="0" fontId="6" fillId="0" borderId="9" xfId="0" applyFont="1" applyBorder="1" applyAlignment="1">
      <alignment vertical="center" wrapText="1"/>
    </xf>
    <xf numFmtId="8" fontId="9" fillId="0" borderId="7" xfId="0" applyNumberFormat="1" applyFont="1" applyBorder="1" applyAlignment="1">
      <alignment horizontal="right" vertical="center"/>
    </xf>
    <xf numFmtId="8" fontId="6" fillId="0" borderId="9" xfId="0" applyNumberFormat="1" applyFont="1" applyBorder="1" applyAlignment="1">
      <alignment horizontal="right" vertical="center" wrapText="1"/>
    </xf>
    <xf numFmtId="8" fontId="6" fillId="0" borderId="6" xfId="0" applyNumberFormat="1" applyFont="1" applyBorder="1" applyAlignment="1">
      <alignment horizontal="right" vertical="center" wrapText="1"/>
    </xf>
    <xf numFmtId="44" fontId="2" fillId="5" borderId="2" xfId="0" applyNumberFormat="1" applyFont="1" applyFill="1" applyBorder="1" applyAlignment="1">
      <alignment horizontal="center"/>
    </xf>
    <xf numFmtId="44" fontId="2" fillId="6" borderId="2" xfId="0" applyNumberFormat="1" applyFont="1" applyFill="1" applyBorder="1" applyAlignment="1">
      <alignment horizontal="center"/>
    </xf>
    <xf numFmtId="44" fontId="0" fillId="0" borderId="1" xfId="0" applyNumberFormat="1" applyBorder="1" applyAlignment="1">
      <alignment horizontal="center" wrapText="1"/>
    </xf>
    <xf numFmtId="44" fontId="0" fillId="0" borderId="1" xfId="0" applyNumberFormat="1" applyBorder="1" applyAlignment="1">
      <alignment horizontal="center"/>
    </xf>
    <xf numFmtId="44" fontId="3" fillId="0" borderId="1" xfId="0" applyNumberFormat="1" applyFont="1" applyBorder="1" applyAlignment="1">
      <alignment horizontal="center" wrapText="1"/>
    </xf>
    <xf numFmtId="0" fontId="5" fillId="0" borderId="8" xfId="0" applyFont="1" applyBorder="1" applyAlignment="1">
      <alignment vertical="center" wrapText="1"/>
    </xf>
    <xf numFmtId="7" fontId="0" fillId="0" borderId="0" xfId="0" applyNumberFormat="1" applyAlignment="1">
      <alignment horizontal="center"/>
    </xf>
    <xf numFmtId="7" fontId="0" fillId="0" borderId="0" xfId="1" applyNumberFormat="1" applyFont="1"/>
    <xf numFmtId="7" fontId="0" fillId="0" borderId="0" xfId="1" applyNumberFormat="1" applyFont="1" applyBorder="1"/>
    <xf numFmtId="7" fontId="0" fillId="2" borderId="3" xfId="0" applyNumberFormat="1" applyFill="1" applyBorder="1" applyAlignment="1">
      <alignment horizontal="center"/>
    </xf>
    <xf numFmtId="7" fontId="2" fillId="0" borderId="0" xfId="0" applyNumberFormat="1" applyFont="1" applyAlignment="1">
      <alignment horizontal="center"/>
    </xf>
    <xf numFmtId="7" fontId="2" fillId="0" borderId="0" xfId="1" applyNumberFormat="1" applyFont="1" applyBorder="1" applyAlignment="1">
      <alignment horizontal="center"/>
    </xf>
    <xf numFmtId="7" fontId="0" fillId="0" borderId="0" xfId="1" applyNumberFormat="1" applyFont="1" applyBorder="1" applyAlignment="1">
      <alignment horizontal="center"/>
    </xf>
    <xf numFmtId="7" fontId="0" fillId="4" borderId="0" xfId="0" applyNumberFormat="1" applyFill="1" applyAlignment="1">
      <alignment horizontal="center"/>
    </xf>
    <xf numFmtId="7" fontId="0" fillId="0" borderId="0" xfId="1" applyNumberFormat="1" applyFont="1" applyFill="1"/>
    <xf numFmtId="7" fontId="0" fillId="6" borderId="0" xfId="0" applyNumberFormat="1" applyFill="1" applyAlignment="1">
      <alignment horizontal="center"/>
    </xf>
    <xf numFmtId="7" fontId="0" fillId="5" borderId="0" xfId="0" applyNumberFormat="1" applyFill="1" applyAlignment="1">
      <alignment horizontal="center"/>
    </xf>
    <xf numFmtId="7" fontId="0" fillId="2" borderId="5" xfId="0" applyNumberFormat="1" applyFill="1" applyBorder="1" applyAlignment="1">
      <alignment horizontal="center"/>
    </xf>
    <xf numFmtId="7" fontId="2" fillId="0" borderId="4" xfId="0" applyNumberFormat="1" applyFont="1" applyBorder="1" applyAlignment="1">
      <alignment horizontal="center"/>
    </xf>
    <xf numFmtId="7" fontId="3" fillId="0" borderId="0" xfId="0" applyNumberFormat="1" applyFont="1" applyAlignment="1">
      <alignment horizontal="center"/>
    </xf>
    <xf numFmtId="7" fontId="0" fillId="8" borderId="1" xfId="0" applyNumberFormat="1" applyFill="1" applyBorder="1" applyAlignment="1">
      <alignment horizontal="center"/>
    </xf>
    <xf numFmtId="7" fontId="12" fillId="7" borderId="1" xfId="1" applyNumberFormat="1" applyFont="1" applyFill="1" applyBorder="1"/>
    <xf numFmtId="0" fontId="5" fillId="0" borderId="13" xfId="0" applyFont="1" applyBorder="1" applyAlignment="1">
      <alignment vertical="center" wrapText="1"/>
    </xf>
    <xf numFmtId="0" fontId="5" fillId="0" borderId="10" xfId="0" applyFont="1" applyBorder="1" applyAlignment="1">
      <alignment vertical="center" wrapText="1"/>
    </xf>
    <xf numFmtId="0" fontId="5" fillId="0" borderId="8" xfId="0" applyFont="1" applyBorder="1" applyAlignment="1">
      <alignment vertical="center" wrapText="1"/>
    </xf>
    <xf numFmtId="8" fontId="6" fillId="0" borderId="13" xfId="0" applyNumberFormat="1" applyFont="1" applyBorder="1" applyAlignment="1">
      <alignment horizontal="right" vertical="center"/>
    </xf>
    <xf numFmtId="8" fontId="6" fillId="0" borderId="10" xfId="0" applyNumberFormat="1" applyFont="1" applyBorder="1" applyAlignment="1">
      <alignment horizontal="right" vertical="center"/>
    </xf>
    <xf numFmtId="8" fontId="6" fillId="0" borderId="8" xfId="0" applyNumberFormat="1" applyFont="1" applyBorder="1" applyAlignment="1">
      <alignment horizontal="right" vertical="center"/>
    </xf>
    <xf numFmtId="0" fontId="6" fillId="0" borderId="13" xfId="0" applyFont="1" applyBorder="1" applyAlignment="1">
      <alignment vertical="center"/>
    </xf>
    <xf numFmtId="0" fontId="6" fillId="0" borderId="10" xfId="0" applyFont="1" applyBorder="1" applyAlignment="1">
      <alignment vertical="center"/>
    </xf>
    <xf numFmtId="0" fontId="6" fillId="0" borderId="8" xfId="0" applyFont="1" applyBorder="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wjrp-programs\Customers\NSRS\NSRS-Summary%20Docs\1%20Program%20Management\2%20Customer%20Contract\2%20Change%20Orders\Washoe%20County\Change%20Order%2011%20-%20DDR\Quote%20Harris-Washoe%20County%2018.US.822481.07%20v4.0%20_9.21.20%20Washoe%20County%20Markup.xlsx?C8D03617" TargetMode="External"/><Relationship Id="rId1" Type="http://schemas.openxmlformats.org/officeDocument/2006/relationships/externalLinkPath" Target="file:///\\C8D03617\Quote%20Harris-Washoe%20County%2018.US.822481.07%20v4.0%20_9.21.20%20Washoe%20County%20Marku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Price Summary"/>
      <sheetName val="Equipment"/>
      <sheetName val="Antennas"/>
      <sheetName val="Engineering Services"/>
      <sheetName val="Installation Services"/>
      <sheetName val="ADDITIONAL SERVICES"/>
      <sheetName val="MW Maintenance"/>
      <sheetName val="DC Power"/>
      <sheetName val="Training"/>
    </sheetNames>
    <sheetDataSet>
      <sheetData sheetId="0" refreshError="1"/>
      <sheetData sheetId="1" refreshError="1">
        <row r="104">
          <cell r="F104">
            <v>30650.985000000001</v>
          </cell>
          <cell r="I104">
            <v>20878.064999999999</v>
          </cell>
          <cell r="N104">
            <v>33402.644999999997</v>
          </cell>
          <cell r="O104">
            <v>48739.325000000004</v>
          </cell>
          <cell r="Q104">
            <v>32602.944999999992</v>
          </cell>
          <cell r="S104">
            <v>45161.864999999998</v>
          </cell>
          <cell r="V104">
            <v>20878.064999999999</v>
          </cell>
          <cell r="W104">
            <v>40675.245000000003</v>
          </cell>
          <cell r="Z104">
            <v>40939.4</v>
          </cell>
        </row>
      </sheetData>
      <sheetData sheetId="2" refreshError="1"/>
      <sheetData sheetId="3" refreshError="1"/>
      <sheetData sheetId="4" refreshError="1">
        <row r="107">
          <cell r="F107">
            <v>28791.029455351654</v>
          </cell>
          <cell r="I107">
            <v>25369.418126902932</v>
          </cell>
          <cell r="N107">
            <v>29313.160547561649</v>
          </cell>
          <cell r="O107">
            <v>55376.215519919089</v>
          </cell>
          <cell r="Q107">
            <v>37465.620026570374</v>
          </cell>
          <cell r="S107">
            <v>43416.726348640375</v>
          </cell>
          <cell r="V107">
            <v>25525.764015692934</v>
          </cell>
          <cell r="W107">
            <v>45390.67943373038</v>
          </cell>
          <cell r="Z107">
            <v>15120.215</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553ED-E52F-4AE9-A9FB-6186467FC1D0}">
  <dimension ref="A1:J27"/>
  <sheetViews>
    <sheetView tabSelected="1" workbookViewId="0">
      <selection activeCell="C26" sqref="C26"/>
    </sheetView>
  </sheetViews>
  <sheetFormatPr defaultColWidth="9.1796875" defaultRowHeight="14.5" x14ac:dyDescent="0.35"/>
  <cols>
    <col min="1" max="1" width="31.81640625" style="4" bestFit="1" customWidth="1"/>
    <col min="2" max="2" width="13.81640625" style="6" customWidth="1"/>
    <col min="3" max="3" width="18.453125" style="6" bestFit="1" customWidth="1"/>
    <col min="4" max="8" width="13.81640625" style="6" customWidth="1"/>
    <col min="9" max="9" width="26.1796875" style="6" customWidth="1"/>
    <col min="10" max="10" width="19.7265625" style="7" bestFit="1" customWidth="1"/>
    <col min="11" max="11" width="12.54296875" style="4" bestFit="1" customWidth="1"/>
    <col min="12" max="12" width="12.1796875" style="4" bestFit="1" customWidth="1"/>
    <col min="13" max="13" width="12.54296875" style="4" bestFit="1" customWidth="1"/>
    <col min="14" max="16384" width="9.1796875" style="4"/>
  </cols>
  <sheetData>
    <row r="1" spans="1:10" x14ac:dyDescent="0.35">
      <c r="A1" s="1" t="s">
        <v>0</v>
      </c>
      <c r="B1" s="2" t="s">
        <v>3</v>
      </c>
      <c r="C1" s="2" t="s">
        <v>4</v>
      </c>
      <c r="D1" s="2" t="s">
        <v>5</v>
      </c>
      <c r="E1" s="2" t="s">
        <v>1</v>
      </c>
      <c r="F1" s="2" t="s">
        <v>6</v>
      </c>
      <c r="G1" s="2" t="s">
        <v>2</v>
      </c>
      <c r="H1" s="2" t="s">
        <v>7</v>
      </c>
      <c r="I1" s="2" t="s">
        <v>25</v>
      </c>
      <c r="J1" s="3" t="s">
        <v>8</v>
      </c>
    </row>
    <row r="2" spans="1:10" x14ac:dyDescent="0.35">
      <c r="A2" s="5" t="s">
        <v>9</v>
      </c>
      <c r="B2" s="6">
        <f>[1]Equipment!$I$104</f>
        <v>20878.064999999999</v>
      </c>
      <c r="C2" s="6">
        <f>[1]Equipment!$N$104</f>
        <v>33402.644999999997</v>
      </c>
      <c r="D2" s="6">
        <f>[1]Equipment!$O$104</f>
        <v>48739.325000000004</v>
      </c>
      <c r="E2" s="6">
        <f>[1]Equipment!$Q$104</f>
        <v>32602.944999999992</v>
      </c>
      <c r="F2" s="6">
        <f>[1]Equipment!$S$104</f>
        <v>45161.864999999998</v>
      </c>
      <c r="G2" s="6">
        <f>[1]Equipment!$V$104</f>
        <v>20878.064999999999</v>
      </c>
      <c r="H2" s="6">
        <f>[1]Equipment!$W$104</f>
        <v>40675.245000000003</v>
      </c>
      <c r="I2" s="6">
        <f>[1]Equipment!$Z$104</f>
        <v>40939.4</v>
      </c>
      <c r="J2" s="7">
        <f>SUM(B2:I2)</f>
        <v>283277.55499999999</v>
      </c>
    </row>
    <row r="3" spans="1:10" x14ac:dyDescent="0.35">
      <c r="A3" s="5" t="s">
        <v>10</v>
      </c>
      <c r="B3" s="6">
        <v>5177.6419999999998</v>
      </c>
      <c r="C3" s="6">
        <v>15477.013999999996</v>
      </c>
      <c r="D3" s="6">
        <v>37693.641999999985</v>
      </c>
      <c r="E3" s="6">
        <v>20264.519999999993</v>
      </c>
      <c r="F3" s="6">
        <v>26661.057999999997</v>
      </c>
      <c r="G3" s="6">
        <v>5519.6620000000003</v>
      </c>
      <c r="H3" s="6">
        <v>19910.701999999994</v>
      </c>
      <c r="I3" s="6">
        <v>0</v>
      </c>
      <c r="J3" s="8">
        <f>SUM(B3:I3)</f>
        <v>130704.23999999995</v>
      </c>
    </row>
    <row r="4" spans="1:10" ht="15" thickBot="1" x14ac:dyDescent="0.4">
      <c r="A4" s="9" t="s">
        <v>11</v>
      </c>
      <c r="B4" s="10">
        <f t="shared" ref="B4:H4" si="0">-70000/20</f>
        <v>-3500</v>
      </c>
      <c r="C4" s="10">
        <f t="shared" si="0"/>
        <v>-3500</v>
      </c>
      <c r="D4" s="10">
        <f t="shared" si="0"/>
        <v>-3500</v>
      </c>
      <c r="E4" s="10">
        <f t="shared" si="0"/>
        <v>-3500</v>
      </c>
      <c r="F4" s="10">
        <f t="shared" si="0"/>
        <v>-3500</v>
      </c>
      <c r="G4" s="10">
        <f t="shared" si="0"/>
        <v>-3500</v>
      </c>
      <c r="H4" s="10">
        <f t="shared" si="0"/>
        <v>-3500</v>
      </c>
      <c r="I4" s="10">
        <v>-3500</v>
      </c>
      <c r="J4" s="11">
        <f>SUM(B4:I4)</f>
        <v>-28000</v>
      </c>
    </row>
    <row r="5" spans="1:10" ht="15" thickBot="1" x14ac:dyDescent="0.4">
      <c r="A5" s="9" t="s">
        <v>12</v>
      </c>
      <c r="B5" s="10">
        <f t="shared" ref="B5:I5" si="1">SUM(B2:B4)*1.25</f>
        <v>28194.633749999997</v>
      </c>
      <c r="C5" s="10">
        <f t="shared" si="1"/>
        <v>56724.573749999989</v>
      </c>
      <c r="D5" s="10">
        <f t="shared" si="1"/>
        <v>103666.20874999999</v>
      </c>
      <c r="E5" s="10">
        <f t="shared" si="1"/>
        <v>61709.331249999974</v>
      </c>
      <c r="F5" s="10">
        <f t="shared" si="1"/>
        <v>85403.653749999998</v>
      </c>
      <c r="G5" s="10">
        <f t="shared" si="1"/>
        <v>28622.158749999999</v>
      </c>
      <c r="H5" s="10">
        <f t="shared" si="1"/>
        <v>71357.433749999997</v>
      </c>
      <c r="I5" s="10">
        <f t="shared" si="1"/>
        <v>46799.25</v>
      </c>
      <c r="J5" s="12">
        <f>SUM(J2:J4)*1.25</f>
        <v>482477.24374999991</v>
      </c>
    </row>
    <row r="6" spans="1:10" x14ac:dyDescent="0.35">
      <c r="A6" s="5" t="s">
        <v>13</v>
      </c>
      <c r="B6" s="6">
        <f t="shared" ref="B6:H6" si="2">133663/20</f>
        <v>6683.15</v>
      </c>
      <c r="C6" s="6">
        <f t="shared" si="2"/>
        <v>6683.15</v>
      </c>
      <c r="D6" s="6">
        <f t="shared" si="2"/>
        <v>6683.15</v>
      </c>
      <c r="E6" s="6">
        <f t="shared" si="2"/>
        <v>6683.15</v>
      </c>
      <c r="F6" s="6">
        <f t="shared" si="2"/>
        <v>6683.15</v>
      </c>
      <c r="G6" s="6">
        <f t="shared" si="2"/>
        <v>6683.15</v>
      </c>
      <c r="H6" s="6">
        <f t="shared" si="2"/>
        <v>6683.15</v>
      </c>
      <c r="J6" s="13">
        <f>SUM(B6:I6)</f>
        <v>46782.05</v>
      </c>
    </row>
    <row r="7" spans="1:10" x14ac:dyDescent="0.35">
      <c r="A7" s="5" t="s">
        <v>14</v>
      </c>
      <c r="B7" s="6">
        <f>'[1]Installation Services'!$I$107</f>
        <v>25369.418126902932</v>
      </c>
      <c r="C7" s="6">
        <f>'[1]Installation Services'!$N$107</f>
        <v>29313.160547561649</v>
      </c>
      <c r="D7" s="6">
        <f>'[1]Installation Services'!$O$107</f>
        <v>55376.215519919089</v>
      </c>
      <c r="E7" s="6">
        <f>'[1]Installation Services'!$Q$107</f>
        <v>37465.620026570374</v>
      </c>
      <c r="F7" s="6">
        <f>'[1]Installation Services'!$S$107</f>
        <v>43416.726348640375</v>
      </c>
      <c r="G7" s="6">
        <f>'[1]Installation Services'!$V$107</f>
        <v>25525.764015692934</v>
      </c>
      <c r="H7" s="6">
        <f>'[1]Installation Services'!$W$107</f>
        <v>45390.67943373038</v>
      </c>
      <c r="I7" s="6">
        <f>'[1]Installation Services'!$Z$107</f>
        <v>15120.215</v>
      </c>
      <c r="J7" s="7">
        <f>SUM(B7:I7)</f>
        <v>276977.79901901772</v>
      </c>
    </row>
    <row r="8" spans="1:10" ht="15" thickBot="1" x14ac:dyDescent="0.4">
      <c r="A8" s="9" t="s">
        <v>15</v>
      </c>
      <c r="B8" s="10">
        <f t="shared" ref="B8:H8" si="3">82750/20</f>
        <v>4137.5</v>
      </c>
      <c r="C8" s="10">
        <f t="shared" si="3"/>
        <v>4137.5</v>
      </c>
      <c r="D8" s="10">
        <f t="shared" si="3"/>
        <v>4137.5</v>
      </c>
      <c r="E8" s="10">
        <f t="shared" si="3"/>
        <v>4137.5</v>
      </c>
      <c r="F8" s="10">
        <f t="shared" si="3"/>
        <v>4137.5</v>
      </c>
      <c r="G8" s="10">
        <f t="shared" si="3"/>
        <v>4137.5</v>
      </c>
      <c r="H8" s="10">
        <f t="shared" si="3"/>
        <v>4137.5</v>
      </c>
      <c r="I8" s="10">
        <v>0</v>
      </c>
      <c r="J8" s="11">
        <f>SUM(B8:I8)</f>
        <v>28962.5</v>
      </c>
    </row>
    <row r="9" spans="1:10" s="5" customFormat="1" ht="15" thickBot="1" x14ac:dyDescent="0.4">
      <c r="A9" s="9" t="s">
        <v>16</v>
      </c>
      <c r="B9" s="14">
        <f t="shared" ref="B9:J9" si="4">SUM(B6:B8)*1.32</f>
        <v>47770.889927511867</v>
      </c>
      <c r="C9" s="14">
        <f t="shared" si="4"/>
        <v>52976.62992278138</v>
      </c>
      <c r="D9" s="14">
        <f t="shared" si="4"/>
        <v>87379.86248629319</v>
      </c>
      <c r="E9" s="14">
        <f t="shared" si="4"/>
        <v>63737.876435072896</v>
      </c>
      <c r="F9" s="14">
        <f t="shared" si="4"/>
        <v>71593.336780205296</v>
      </c>
      <c r="G9" s="14">
        <f t="shared" si="4"/>
        <v>47977.266500714679</v>
      </c>
      <c r="H9" s="14">
        <f t="shared" si="4"/>
        <v>74198.954852524112</v>
      </c>
      <c r="I9" s="14">
        <f t="shared" si="4"/>
        <v>19958.683800000003</v>
      </c>
      <c r="J9" s="14">
        <f t="shared" si="4"/>
        <v>465593.50070510339</v>
      </c>
    </row>
    <row r="10" spans="1:10" x14ac:dyDescent="0.35">
      <c r="A10" s="5" t="s">
        <v>17</v>
      </c>
      <c r="B10" s="6">
        <f t="shared" ref="B10:I10" si="5">B9+B5</f>
        <v>75965.523677511868</v>
      </c>
      <c r="C10" s="6">
        <f t="shared" si="5"/>
        <v>109701.20367278137</v>
      </c>
      <c r="D10" s="6">
        <f t="shared" si="5"/>
        <v>191046.07123629318</v>
      </c>
      <c r="E10" s="6">
        <f t="shared" si="5"/>
        <v>125447.20768507288</v>
      </c>
      <c r="F10" s="6">
        <f t="shared" si="5"/>
        <v>156996.99053020531</v>
      </c>
      <c r="G10" s="6">
        <f t="shared" si="5"/>
        <v>76599.425250714674</v>
      </c>
      <c r="H10" s="6">
        <f t="shared" si="5"/>
        <v>145556.38860252412</v>
      </c>
      <c r="I10" s="6">
        <f t="shared" si="5"/>
        <v>66757.933799999999</v>
      </c>
      <c r="J10" s="6">
        <f>J9+J5</f>
        <v>948070.7444551033</v>
      </c>
    </row>
    <row r="12" spans="1:10" x14ac:dyDescent="0.35">
      <c r="A12" s="15" t="s">
        <v>18</v>
      </c>
    </row>
    <row r="13" spans="1:10" x14ac:dyDescent="0.35">
      <c r="A13" s="1" t="s">
        <v>0</v>
      </c>
      <c r="B13" s="36" t="s">
        <v>3</v>
      </c>
      <c r="C13" s="36" t="s">
        <v>4</v>
      </c>
      <c r="D13" s="35" t="s">
        <v>5</v>
      </c>
      <c r="E13" s="2" t="s">
        <v>1</v>
      </c>
      <c r="F13" s="36" t="s">
        <v>6</v>
      </c>
      <c r="G13" s="35" t="s">
        <v>2</v>
      </c>
      <c r="H13" s="36" t="s">
        <v>7</v>
      </c>
      <c r="I13" s="2" t="s">
        <v>79</v>
      </c>
      <c r="J13" s="3" t="s">
        <v>8</v>
      </c>
    </row>
    <row r="14" spans="1:10" x14ac:dyDescent="0.35">
      <c r="A14" s="5" t="s">
        <v>19</v>
      </c>
      <c r="B14" s="41">
        <v>21395.564999999999</v>
      </c>
      <c r="C14" s="41">
        <v>33920.144999999997</v>
      </c>
      <c r="D14" s="41">
        <v>49054.325000000004</v>
      </c>
      <c r="E14" s="41">
        <v>33123.50499999999</v>
      </c>
      <c r="F14" s="41">
        <v>45679.364999999998</v>
      </c>
      <c r="G14" s="41">
        <v>21395.564999999999</v>
      </c>
      <c r="H14" s="41">
        <v>41192.745000000003</v>
      </c>
      <c r="I14" s="41">
        <v>48484.4</v>
      </c>
      <c r="J14" s="42">
        <f>SUM(B14:I14)</f>
        <v>294245.61499999999</v>
      </c>
    </row>
    <row r="15" spans="1:10" x14ac:dyDescent="0.35">
      <c r="A15" s="5" t="s">
        <v>20</v>
      </c>
      <c r="B15" s="41">
        <v>3871.6380000000004</v>
      </c>
      <c r="C15" s="41">
        <v>17674.962799999998</v>
      </c>
      <c r="D15" s="41">
        <v>39629.611799999991</v>
      </c>
      <c r="E15" s="41">
        <v>22356.820999999993</v>
      </c>
      <c r="F15" s="41">
        <v>24119.993999999999</v>
      </c>
      <c r="G15" s="41">
        <v>4167.6819999999998</v>
      </c>
      <c r="H15" s="41">
        <v>20565.048799999993</v>
      </c>
      <c r="I15" s="41">
        <f>25227.4175+3170.79</f>
        <v>28398.2075</v>
      </c>
      <c r="J15" s="43">
        <f>SUM(B15:I15)</f>
        <v>160783.96589999995</v>
      </c>
    </row>
    <row r="16" spans="1:10" x14ac:dyDescent="0.35">
      <c r="A16" s="5" t="s">
        <v>11</v>
      </c>
      <c r="B16" s="41">
        <f t="shared" ref="B16:H16" si="6">-70000/20</f>
        <v>-3500</v>
      </c>
      <c r="C16" s="41">
        <f t="shared" si="6"/>
        <v>-3500</v>
      </c>
      <c r="D16" s="41">
        <f t="shared" si="6"/>
        <v>-3500</v>
      </c>
      <c r="E16" s="41">
        <f t="shared" si="6"/>
        <v>-3500</v>
      </c>
      <c r="F16" s="41">
        <f t="shared" si="6"/>
        <v>-3500</v>
      </c>
      <c r="G16" s="41">
        <f t="shared" si="6"/>
        <v>-3500</v>
      </c>
      <c r="H16" s="41">
        <f t="shared" si="6"/>
        <v>-3500</v>
      </c>
      <c r="I16" s="41">
        <v>-3500</v>
      </c>
      <c r="J16" s="43">
        <f>SUM(B16:I16)</f>
        <v>-28000</v>
      </c>
    </row>
    <row r="17" spans="1:10" ht="15" thickBot="1" x14ac:dyDescent="0.4">
      <c r="A17" s="18" t="s">
        <v>12</v>
      </c>
      <c r="B17" s="44">
        <f t="shared" ref="B17:I17" si="7">SUM(B14:B16)*1.25</f>
        <v>27209.003749999996</v>
      </c>
      <c r="C17" s="44">
        <f t="shared" si="7"/>
        <v>60118.884749999997</v>
      </c>
      <c r="D17" s="44">
        <f t="shared" si="7"/>
        <v>106479.921</v>
      </c>
      <c r="E17" s="44">
        <f t="shared" si="7"/>
        <v>64975.407499999987</v>
      </c>
      <c r="F17" s="44">
        <f t="shared" si="7"/>
        <v>82874.198749999996</v>
      </c>
      <c r="G17" s="44">
        <f t="shared" si="7"/>
        <v>27579.05875</v>
      </c>
      <c r="H17" s="44">
        <f t="shared" si="7"/>
        <v>72822.242249999996</v>
      </c>
      <c r="I17" s="44">
        <f t="shared" si="7"/>
        <v>91728.259374999994</v>
      </c>
      <c r="J17" s="44">
        <f>SUM(J14:J16)*1.25</f>
        <v>533786.97612499993</v>
      </c>
    </row>
    <row r="18" spans="1:10" s="5" customFormat="1" x14ac:dyDescent="0.35">
      <c r="A18" s="5" t="s">
        <v>21</v>
      </c>
      <c r="B18" s="45">
        <f t="shared" ref="B18:I18" si="8">B17-B5</f>
        <v>-985.63000000000102</v>
      </c>
      <c r="C18" s="45">
        <f t="shared" si="8"/>
        <v>3394.3110000000088</v>
      </c>
      <c r="D18" s="45">
        <f t="shared" si="8"/>
        <v>2813.7122500000114</v>
      </c>
      <c r="E18" s="45">
        <f t="shared" si="8"/>
        <v>3266.0762500000128</v>
      </c>
      <c r="F18" s="45">
        <f t="shared" si="8"/>
        <v>-2529.4550000000017</v>
      </c>
      <c r="G18" s="45">
        <f t="shared" si="8"/>
        <v>-1043.0999999999985</v>
      </c>
      <c r="H18" s="45">
        <f t="shared" si="8"/>
        <v>1464.8084999999992</v>
      </c>
      <c r="I18" s="45">
        <f t="shared" si="8"/>
        <v>44929.009374999994</v>
      </c>
      <c r="J18" s="46">
        <f>J17-J5</f>
        <v>51309.732375000021</v>
      </c>
    </row>
    <row r="19" spans="1:10" x14ac:dyDescent="0.35">
      <c r="A19" s="5"/>
      <c r="B19" s="41"/>
      <c r="C19" s="41"/>
      <c r="D19" s="41"/>
      <c r="E19" s="41"/>
      <c r="F19" s="41"/>
      <c r="G19" s="41"/>
      <c r="H19" s="41"/>
      <c r="I19" s="41"/>
      <c r="J19" s="47"/>
    </row>
    <row r="20" spans="1:10" x14ac:dyDescent="0.35">
      <c r="A20" s="5" t="s">
        <v>22</v>
      </c>
      <c r="B20" s="41">
        <v>7520</v>
      </c>
      <c r="C20" s="48">
        <f>7520+10941.95</f>
        <v>18461.95</v>
      </c>
      <c r="D20" s="41">
        <v>7520</v>
      </c>
      <c r="E20" s="41">
        <v>7520</v>
      </c>
      <c r="F20" s="41">
        <v>7520</v>
      </c>
      <c r="G20" s="41">
        <v>7520</v>
      </c>
      <c r="H20" s="41">
        <v>7520</v>
      </c>
      <c r="I20" s="41">
        <v>0</v>
      </c>
      <c r="J20" s="49">
        <f>SUM(B20:I20)</f>
        <v>63581.95</v>
      </c>
    </row>
    <row r="21" spans="1:10" x14ac:dyDescent="0.35">
      <c r="A21" s="5" t="s">
        <v>23</v>
      </c>
      <c r="B21" s="50">
        <v>39630.25</v>
      </c>
      <c r="C21" s="50">
        <v>39630.25</v>
      </c>
      <c r="D21" s="51">
        <v>78019.350000000006</v>
      </c>
      <c r="E21" s="41">
        <v>30000</v>
      </c>
      <c r="F21" s="50">
        <f>39630.25</f>
        <v>39630.25</v>
      </c>
      <c r="G21" s="51">
        <v>27594.82</v>
      </c>
      <c r="H21" s="50">
        <v>39630.25</v>
      </c>
      <c r="I21" s="41"/>
      <c r="J21" s="42">
        <f>SUM(B21:I21)</f>
        <v>294135.17000000004</v>
      </c>
    </row>
    <row r="22" spans="1:10" x14ac:dyDescent="0.35">
      <c r="A22" s="17" t="s">
        <v>16</v>
      </c>
      <c r="B22" s="52">
        <f t="shared" ref="B22:J22" si="9">SUM(B20:B21)*1.32</f>
        <v>62238.33</v>
      </c>
      <c r="C22" s="52">
        <f t="shared" si="9"/>
        <v>76681.703999999998</v>
      </c>
      <c r="D22" s="52">
        <f t="shared" si="9"/>
        <v>112911.94200000001</v>
      </c>
      <c r="E22" s="52">
        <f t="shared" si="9"/>
        <v>49526.400000000001</v>
      </c>
      <c r="F22" s="52">
        <f t="shared" si="9"/>
        <v>62238.33</v>
      </c>
      <c r="G22" s="52">
        <f t="shared" si="9"/>
        <v>46351.562400000003</v>
      </c>
      <c r="H22" s="52">
        <f t="shared" si="9"/>
        <v>62238.33</v>
      </c>
      <c r="I22" s="52">
        <f t="shared" si="9"/>
        <v>0</v>
      </c>
      <c r="J22" s="52">
        <f t="shared" si="9"/>
        <v>472186.59840000008</v>
      </c>
    </row>
    <row r="23" spans="1:10" s="5" customFormat="1" ht="15" thickBot="1" x14ac:dyDescent="0.4">
      <c r="A23" s="16" t="s">
        <v>24</v>
      </c>
      <c r="B23" s="53">
        <f t="shared" ref="B23:I23" si="10">B22-B9</f>
        <v>14467.440072488134</v>
      </c>
      <c r="C23" s="53">
        <f t="shared" si="10"/>
        <v>23705.074077218618</v>
      </c>
      <c r="D23" s="53">
        <f t="shared" si="10"/>
        <v>25532.07951370682</v>
      </c>
      <c r="E23" s="53">
        <f t="shared" si="10"/>
        <v>-14211.476435072895</v>
      </c>
      <c r="F23" s="53">
        <f t="shared" si="10"/>
        <v>-9355.0067802052945</v>
      </c>
      <c r="G23" s="53">
        <f t="shared" si="10"/>
        <v>-1625.7041007146763</v>
      </c>
      <c r="H23" s="53">
        <f t="shared" si="10"/>
        <v>-11960.62485252411</v>
      </c>
      <c r="I23" s="53">
        <f t="shared" si="10"/>
        <v>-19958.683800000003</v>
      </c>
      <c r="J23" s="53">
        <f>J22-J9</f>
        <v>6593.0976948966854</v>
      </c>
    </row>
    <row r="24" spans="1:10" ht="18.5" x14ac:dyDescent="0.45">
      <c r="A24" s="5" t="s">
        <v>17</v>
      </c>
      <c r="B24" s="41">
        <f t="shared" ref="B24:J24" si="11">B22+B17</f>
        <v>89447.333749999991</v>
      </c>
      <c r="C24" s="41">
        <f t="shared" si="11"/>
        <v>136800.58875</v>
      </c>
      <c r="D24" s="41">
        <f t="shared" si="11"/>
        <v>219391.86300000001</v>
      </c>
      <c r="E24" s="41">
        <f t="shared" si="11"/>
        <v>114501.8075</v>
      </c>
      <c r="F24" s="41">
        <f t="shared" si="11"/>
        <v>145112.52875</v>
      </c>
      <c r="G24" s="41">
        <f t="shared" si="11"/>
        <v>73930.621150000006</v>
      </c>
      <c r="H24" s="41">
        <f t="shared" si="11"/>
        <v>135060.57225</v>
      </c>
      <c r="I24" s="41">
        <f t="shared" si="11"/>
        <v>91728.259374999994</v>
      </c>
      <c r="J24" s="54">
        <f t="shared" si="11"/>
        <v>1005973.5745250001</v>
      </c>
    </row>
    <row r="25" spans="1:10" x14ac:dyDescent="0.35">
      <c r="A25" s="5"/>
      <c r="J25" s="6"/>
    </row>
    <row r="26" spans="1:10" ht="44.5" x14ac:dyDescent="0.45">
      <c r="A26" s="5"/>
      <c r="B26" s="37" t="s">
        <v>26</v>
      </c>
      <c r="C26" s="37" t="s">
        <v>27</v>
      </c>
      <c r="D26" s="37" t="s">
        <v>28</v>
      </c>
      <c r="E26" s="37" t="s">
        <v>29</v>
      </c>
      <c r="F26" s="37" t="s">
        <v>30</v>
      </c>
      <c r="G26" s="37" t="s">
        <v>26</v>
      </c>
      <c r="H26" s="37" t="s">
        <v>31</v>
      </c>
      <c r="I26" s="38"/>
      <c r="J26" s="39" t="s">
        <v>32</v>
      </c>
    </row>
    <row r="27" spans="1:10" ht="21" x14ac:dyDescent="0.5">
      <c r="A27" s="5" t="s">
        <v>80</v>
      </c>
      <c r="B27" s="55">
        <v>89447.333749999991</v>
      </c>
      <c r="C27" s="55">
        <f>136800.58875/2</f>
        <v>68400.294374999998</v>
      </c>
      <c r="D27" s="55">
        <f>(219391.863/6)*2</f>
        <v>73130.620999999999</v>
      </c>
      <c r="E27" s="55">
        <f>114501.8075/3</f>
        <v>38167.269166666665</v>
      </c>
      <c r="F27" s="55">
        <f>145112.52875/4</f>
        <v>36278.132187499999</v>
      </c>
      <c r="G27" s="55">
        <v>73930.621150000006</v>
      </c>
      <c r="H27" s="55">
        <v>135060.57225</v>
      </c>
      <c r="I27" s="55">
        <v>91728.259374999994</v>
      </c>
      <c r="J27" s="56">
        <f>B27+C27+D27+E27+F27+G27+H27+I27</f>
        <v>606143.10325416666</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BB04-729C-413C-98F8-3BD9C060765A}">
  <dimension ref="A1:D30"/>
  <sheetViews>
    <sheetView workbookViewId="0">
      <selection activeCell="A5" sqref="A5"/>
    </sheetView>
  </sheetViews>
  <sheetFormatPr defaultRowHeight="14.5" x14ac:dyDescent="0.35"/>
  <cols>
    <col min="1" max="2" width="50.26953125" customWidth="1"/>
    <col min="3" max="3" width="13.453125" bestFit="1" customWidth="1"/>
    <col min="4" max="4" width="50.26953125" customWidth="1"/>
  </cols>
  <sheetData>
    <row r="1" spans="1:4" ht="15" thickBot="1" x14ac:dyDescent="0.4">
      <c r="A1" s="19" t="s">
        <v>33</v>
      </c>
      <c r="B1" s="20" t="s">
        <v>34</v>
      </c>
      <c r="C1" s="21" t="s">
        <v>35</v>
      </c>
      <c r="D1" s="21" t="s">
        <v>36</v>
      </c>
    </row>
    <row r="2" spans="1:4" ht="87.5" thickBot="1" x14ac:dyDescent="0.4">
      <c r="A2" s="40" t="s">
        <v>37</v>
      </c>
      <c r="B2" s="22" t="s">
        <v>38</v>
      </c>
      <c r="C2" s="23">
        <v>2813</v>
      </c>
      <c r="D2" s="24"/>
    </row>
    <row r="3" spans="1:4" ht="29.5" thickBot="1" x14ac:dyDescent="0.4">
      <c r="A3" s="40" t="s">
        <v>39</v>
      </c>
      <c r="B3" s="22" t="s">
        <v>40</v>
      </c>
      <c r="C3" s="23">
        <v>19600</v>
      </c>
      <c r="D3" s="24"/>
    </row>
    <row r="4" spans="1:4" ht="29.5" thickBot="1" x14ac:dyDescent="0.4">
      <c r="A4" s="40" t="s">
        <v>41</v>
      </c>
      <c r="B4" s="22" t="s">
        <v>42</v>
      </c>
      <c r="C4" s="23">
        <v>19600</v>
      </c>
      <c r="D4" s="24"/>
    </row>
    <row r="5" spans="1:4" ht="29.5" thickBot="1" x14ac:dyDescent="0.4">
      <c r="A5" s="40" t="s">
        <v>43</v>
      </c>
      <c r="B5" s="22" t="s">
        <v>44</v>
      </c>
      <c r="C5" s="23">
        <v>0</v>
      </c>
      <c r="D5" s="25">
        <v>14745</v>
      </c>
    </row>
    <row r="6" spans="1:4" ht="96.65" customHeight="1" thickBot="1" x14ac:dyDescent="0.4">
      <c r="A6" s="40" t="s">
        <v>45</v>
      </c>
      <c r="B6" s="22" t="s">
        <v>46</v>
      </c>
      <c r="C6" s="23">
        <v>14745</v>
      </c>
      <c r="D6" s="24"/>
    </row>
    <row r="7" spans="1:4" ht="15" thickBot="1" x14ac:dyDescent="0.4">
      <c r="A7" s="40" t="s">
        <v>47</v>
      </c>
      <c r="B7" s="22" t="s">
        <v>48</v>
      </c>
      <c r="C7" s="23">
        <v>0</v>
      </c>
      <c r="D7" s="24"/>
    </row>
    <row r="8" spans="1:4" ht="15" thickBot="1" x14ac:dyDescent="0.4">
      <c r="A8" s="40" t="s">
        <v>49</v>
      </c>
      <c r="B8" s="22" t="s">
        <v>50</v>
      </c>
      <c r="C8" s="23">
        <v>0</v>
      </c>
      <c r="D8" s="24"/>
    </row>
    <row r="9" spans="1:4" ht="58.5" thickBot="1" x14ac:dyDescent="0.4">
      <c r="A9" s="40" t="s">
        <v>51</v>
      </c>
      <c r="B9" s="22" t="s">
        <v>52</v>
      </c>
      <c r="C9" s="23">
        <v>19600</v>
      </c>
      <c r="D9" s="24"/>
    </row>
    <row r="10" spans="1:4" ht="116.5" thickBot="1" x14ac:dyDescent="0.4">
      <c r="A10" s="40" t="s">
        <v>53</v>
      </c>
      <c r="B10" s="22" t="s">
        <v>54</v>
      </c>
      <c r="C10" s="23">
        <v>17545</v>
      </c>
      <c r="D10" s="24"/>
    </row>
    <row r="11" spans="1:4" x14ac:dyDescent="0.35">
      <c r="A11" s="57" t="s">
        <v>55</v>
      </c>
      <c r="B11" s="26" t="s">
        <v>56</v>
      </c>
      <c r="C11" s="60">
        <v>9800</v>
      </c>
      <c r="D11" s="63"/>
    </row>
    <row r="12" spans="1:4" x14ac:dyDescent="0.35">
      <c r="A12" s="58"/>
      <c r="B12" s="26" t="s">
        <v>57</v>
      </c>
      <c r="C12" s="61"/>
      <c r="D12" s="64"/>
    </row>
    <row r="13" spans="1:4" ht="29" x14ac:dyDescent="0.35">
      <c r="A13" s="58"/>
      <c r="B13" s="26" t="s">
        <v>58</v>
      </c>
      <c r="C13" s="61"/>
      <c r="D13" s="64"/>
    </row>
    <row r="14" spans="1:4" ht="15" thickBot="1" x14ac:dyDescent="0.4">
      <c r="A14" s="59"/>
      <c r="B14" s="22" t="s">
        <v>59</v>
      </c>
      <c r="C14" s="62"/>
      <c r="D14" s="65"/>
    </row>
    <row r="15" spans="1:4" ht="58" x14ac:dyDescent="0.35">
      <c r="A15" s="57" t="s">
        <v>60</v>
      </c>
      <c r="B15" s="26" t="s">
        <v>61</v>
      </c>
      <c r="C15" s="60">
        <v>5445</v>
      </c>
      <c r="D15" s="63"/>
    </row>
    <row r="16" spans="1:4" ht="43.5" x14ac:dyDescent="0.35">
      <c r="A16" s="58"/>
      <c r="B16" s="26" t="s">
        <v>62</v>
      </c>
      <c r="C16" s="61"/>
      <c r="D16" s="64"/>
    </row>
    <row r="17" spans="1:4" ht="44" thickBot="1" x14ac:dyDescent="0.4">
      <c r="A17" s="59"/>
      <c r="B17" s="27" t="s">
        <v>63</v>
      </c>
      <c r="C17" s="62"/>
      <c r="D17" s="65"/>
    </row>
    <row r="18" spans="1:4" ht="73" thickBot="1" x14ac:dyDescent="0.4">
      <c r="A18" s="40" t="s">
        <v>64</v>
      </c>
      <c r="B18" s="22" t="s">
        <v>65</v>
      </c>
      <c r="C18" s="23">
        <v>3228.6</v>
      </c>
      <c r="D18" s="24"/>
    </row>
    <row r="19" spans="1:4" x14ac:dyDescent="0.35">
      <c r="A19" s="57" t="s">
        <v>66</v>
      </c>
      <c r="B19" s="26" t="s">
        <v>67</v>
      </c>
      <c r="C19" s="60">
        <v>2346.12</v>
      </c>
      <c r="D19" s="63"/>
    </row>
    <row r="20" spans="1:4" ht="43.5" x14ac:dyDescent="0.35">
      <c r="A20" s="58"/>
      <c r="B20" s="26" t="s">
        <v>68</v>
      </c>
      <c r="C20" s="61"/>
      <c r="D20" s="64"/>
    </row>
    <row r="21" spans="1:4" ht="43.5" x14ac:dyDescent="0.35">
      <c r="A21" s="58"/>
      <c r="B21" s="26" t="s">
        <v>69</v>
      </c>
      <c r="C21" s="61"/>
      <c r="D21" s="64"/>
    </row>
    <row r="22" spans="1:4" ht="29" x14ac:dyDescent="0.35">
      <c r="A22" s="58"/>
      <c r="B22" s="26" t="s">
        <v>70</v>
      </c>
      <c r="C22" s="61"/>
      <c r="D22" s="64"/>
    </row>
    <row r="23" spans="1:4" ht="15" thickBot="1" x14ac:dyDescent="0.4">
      <c r="A23" s="59"/>
      <c r="B23" s="22" t="s">
        <v>71</v>
      </c>
      <c r="C23" s="62"/>
      <c r="D23" s="65"/>
    </row>
    <row r="24" spans="1:4" ht="15" thickBot="1" x14ac:dyDescent="0.4">
      <c r="A24" s="40" t="s">
        <v>72</v>
      </c>
      <c r="B24" s="22"/>
      <c r="C24" s="28">
        <v>0</v>
      </c>
      <c r="D24" s="25">
        <v>21777.78</v>
      </c>
    </row>
    <row r="25" spans="1:4" ht="15" thickBot="1" x14ac:dyDescent="0.4">
      <c r="A25" s="40" t="s">
        <v>73</v>
      </c>
      <c r="B25" s="22"/>
      <c r="C25" s="29">
        <v>0</v>
      </c>
      <c r="D25" s="25">
        <v>21777.78</v>
      </c>
    </row>
    <row r="26" spans="1:4" ht="15" thickBot="1" x14ac:dyDescent="0.4">
      <c r="A26" s="40" t="s">
        <v>74</v>
      </c>
      <c r="B26" s="24"/>
      <c r="C26" s="30">
        <v>4411</v>
      </c>
      <c r="D26" s="31"/>
    </row>
    <row r="27" spans="1:4" ht="44" thickBot="1" x14ac:dyDescent="0.4">
      <c r="A27" s="40" t="s">
        <v>75</v>
      </c>
      <c r="B27" s="22" t="s">
        <v>76</v>
      </c>
      <c r="C27" s="32">
        <v>600</v>
      </c>
      <c r="D27" s="24"/>
    </row>
    <row r="28" spans="1:4" ht="87.5" thickBot="1" x14ac:dyDescent="0.4">
      <c r="A28" s="40" t="s">
        <v>77</v>
      </c>
      <c r="B28" s="22" t="s">
        <v>78</v>
      </c>
      <c r="C28" s="33">
        <v>1395.76</v>
      </c>
      <c r="D28" s="24"/>
    </row>
    <row r="29" spans="1:4" ht="15" thickBot="1" x14ac:dyDescent="0.4"/>
    <row r="30" spans="1:4" ht="15" thickBot="1" x14ac:dyDescent="0.4">
      <c r="C30" s="34">
        <f>SUM(C2:C29)</f>
        <v>121129.48</v>
      </c>
    </row>
  </sheetData>
  <mergeCells count="9">
    <mergeCell ref="A19:A23"/>
    <mergeCell ref="C19:C23"/>
    <mergeCell ref="D19:D23"/>
    <mergeCell ref="A11:A14"/>
    <mergeCell ref="C11:C14"/>
    <mergeCell ref="D11:D14"/>
    <mergeCell ref="A15:A17"/>
    <mergeCell ref="C15:C17"/>
    <mergeCell ref="D15:D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832452e-6321-41c8-904b-24b2eaad5973">
      <Terms xmlns="http://schemas.microsoft.com/office/infopath/2007/PartnerControls"/>
    </lcf76f155ced4ddcb4097134ff3c332f>
    <TaxCatchAll xmlns="bc3dc3c5-41ef-4dc8-b504-db9d40f66a26" xsi:nil="true"/>
    <SharedWithUsers xmlns="bc3dc3c5-41ef-4dc8-b504-db9d40f66a26">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2A4E44411C284A901C1DF4352D563F" ma:contentTypeVersion="15" ma:contentTypeDescription="Create a new document." ma:contentTypeScope="" ma:versionID="58d83de00cdb0e53e63e0b0dfa4e55ce">
  <xsd:schema xmlns:xsd="http://www.w3.org/2001/XMLSchema" xmlns:xs="http://www.w3.org/2001/XMLSchema" xmlns:p="http://schemas.microsoft.com/office/2006/metadata/properties" xmlns:ns2="3832452e-6321-41c8-904b-24b2eaad5973" xmlns:ns3="bc3dc3c5-41ef-4dc8-b504-db9d40f66a26" targetNamespace="http://schemas.microsoft.com/office/2006/metadata/properties" ma:root="true" ma:fieldsID="31524a6f0b9d96c1d5ba583556e46a03" ns2:_="" ns3:_="">
    <xsd:import namespace="3832452e-6321-41c8-904b-24b2eaad5973"/>
    <xsd:import namespace="bc3dc3c5-41ef-4dc8-b504-db9d40f66a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2452e-6321-41c8-904b-24b2eaad59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b48f011-0c99-48a8-b23c-e11e698ab5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3dc3c5-41ef-4dc8-b504-db9d40f66a2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5a7e687-8fe3-4e76-8a05-f0bf1a72d403}" ma:internalName="TaxCatchAll" ma:showField="CatchAllData" ma:web="bc3dc3c5-41ef-4dc8-b504-db9d40f66a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7D390C-E486-4184-A175-649C4D8AF4B8}">
  <ds:schemaRefs>
    <ds:schemaRef ds:uri="http://schemas.microsoft.com/office/2006/metadata/properties"/>
    <ds:schemaRef ds:uri="http://schemas.microsoft.com/office/infopath/2007/PartnerControls"/>
    <ds:schemaRef ds:uri="3fd00403-f16b-4294-842f-197da1c2154d"/>
    <ds:schemaRef ds:uri="d31e14b8-2386-4d4b-9764-e890565e20e6"/>
  </ds:schemaRefs>
</ds:datastoreItem>
</file>

<file path=customXml/itemProps2.xml><?xml version="1.0" encoding="utf-8"?>
<ds:datastoreItem xmlns:ds="http://schemas.openxmlformats.org/officeDocument/2006/customXml" ds:itemID="{99283302-D735-4EA6-BC5D-FB8BAF3866B0}">
  <ds:schemaRefs>
    <ds:schemaRef ds:uri="http://schemas.microsoft.com/sharepoint/v3/contenttype/forms"/>
  </ds:schemaRefs>
</ds:datastoreItem>
</file>

<file path=customXml/itemProps3.xml><?xml version="1.0" encoding="utf-8"?>
<ds:datastoreItem xmlns:ds="http://schemas.openxmlformats.org/officeDocument/2006/customXml" ds:itemID="{A80BD051-AC50-4D1F-8F5F-25703883D3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Link-by-link</vt:lpstr>
      <vt:lpstr>Nokia Change Req - Orig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Taylor, Heather (US)</dc:creator>
  <cp:keywords/>
  <dc:description/>
  <cp:lastModifiedBy>Korbulic, Quinn</cp:lastModifiedBy>
  <cp:revision/>
  <dcterms:created xsi:type="dcterms:W3CDTF">2022-02-16T18:00:15Z</dcterms:created>
  <dcterms:modified xsi:type="dcterms:W3CDTF">2024-05-16T16:47:51Z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0x010100CA2A4E44411C284A901C1DF4352D563F</vt:lpwstr>
  </property>
  <property fmtid="{D5CDD505-2E9C-101B-9397-08002B2CF9AE}" pid="3" name="MediaServiceImageTags">
    <vt:lpwstr/>
  </property>
  <property fmtid="{D5CDD505-2E9C-101B-9397-08002B2CF9AE}" pid="4" name="Order">
    <vt:r8>249200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